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kon/Desktop/"/>
    </mc:Choice>
  </mc:AlternateContent>
  <bookViews>
    <workbookView xWindow="380" yWindow="0" windowWidth="21440" windowHeight="16500" activeTab="4"/>
  </bookViews>
  <sheets>
    <sheet name="Inntektsrapport" sheetId="1" r:id="rId1"/>
    <sheet name="Balanserapport" sheetId="2" r:id="rId2"/>
    <sheet name="Kontantstrømrapport" sheetId="3" r:id="rId3"/>
    <sheet name="Nøkkeltall" sheetId="4" r:id="rId4"/>
    <sheet name="Eierstrukt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4" l="1"/>
  <c r="E24" i="4"/>
  <c r="C18" i="5" l="1"/>
  <c r="G7" i="5"/>
  <c r="G8" i="5"/>
  <c r="D10" i="5"/>
  <c r="C16" i="5"/>
  <c r="D7" i="5"/>
  <c r="D6" i="5"/>
  <c r="G6" i="5" s="1"/>
  <c r="F8" i="5" l="1"/>
  <c r="F7" i="5"/>
  <c r="F6" i="5"/>
  <c r="C10" i="5"/>
  <c r="E23" i="1" l="1"/>
  <c r="E5" i="1"/>
  <c r="E6" i="1"/>
  <c r="E8" i="1"/>
  <c r="E9" i="1"/>
  <c r="E10" i="1"/>
  <c r="E11" i="1"/>
  <c r="E13" i="1"/>
  <c r="E14" i="1"/>
  <c r="E16" i="1"/>
  <c r="E17" i="1"/>
  <c r="E18" i="1"/>
  <c r="E19" i="1"/>
  <c r="E21" i="1"/>
  <c r="E24" i="1"/>
  <c r="E26" i="1"/>
  <c r="E27" i="1"/>
  <c r="E4" i="1"/>
  <c r="E18" i="4"/>
  <c r="F18" i="4"/>
  <c r="C14" i="4"/>
  <c r="E14" i="4"/>
  <c r="D27" i="4"/>
  <c r="E27" i="4"/>
  <c r="D25" i="4"/>
  <c r="E25" i="4"/>
  <c r="D15" i="4"/>
  <c r="E15" i="4"/>
  <c r="D26" i="4" l="1"/>
  <c r="E26" i="4"/>
  <c r="D23" i="4"/>
  <c r="E23" i="4"/>
  <c r="D14" i="4"/>
  <c r="E11" i="4"/>
  <c r="D11" i="4"/>
  <c r="C11" i="4"/>
  <c r="E10" i="4"/>
  <c r="D10" i="4"/>
  <c r="C10" i="4"/>
  <c r="E9" i="4"/>
  <c r="D9" i="4"/>
  <c r="C9" i="4"/>
  <c r="E8" i="4"/>
  <c r="D8" i="4"/>
  <c r="C8" i="4"/>
  <c r="E6" i="4"/>
  <c r="D6" i="4"/>
  <c r="E5" i="4"/>
  <c r="D5" i="4"/>
  <c r="E4" i="4"/>
  <c r="D4" i="4"/>
</calcChain>
</file>

<file path=xl/sharedStrings.xml><?xml version="1.0" encoding="utf-8"?>
<sst xmlns="http://schemas.openxmlformats.org/spreadsheetml/2006/main" count="134" uniqueCount="117">
  <si>
    <t>Revenue</t>
  </si>
  <si>
    <t>Direct cost of sales</t>
  </si>
  <si>
    <t>Revenue less direct cost of sales</t>
  </si>
  <si>
    <t>Personnel expenses</t>
  </si>
  <si>
    <t>Other operating expenses</t>
  </si>
  <si>
    <t>Depreciation and amortisation</t>
  </si>
  <si>
    <t>Total operating expenses</t>
  </si>
  <si>
    <t>Other gains and losses, net</t>
  </si>
  <si>
    <t>Operating profit</t>
  </si>
  <si>
    <t>Interest income</t>
  </si>
  <si>
    <t>Interest expense</t>
  </si>
  <si>
    <t>Other financial items, net</t>
  </si>
  <si>
    <t>Net financial income/(cost)</t>
  </si>
  <si>
    <t>Profit/(loss) before tax</t>
  </si>
  <si>
    <t>Income tax (expense)/income</t>
  </si>
  <si>
    <t>Profit/(loss) for the year</t>
  </si>
  <si>
    <t>Basic earnings per share (in NOK)*</t>
  </si>
  <si>
    <t>Diluted earnings per share (in NOK)</t>
  </si>
  <si>
    <t>* Based on 104 496 216 shares outstanding. Reference is made to note 11 and 14 regarding incorporation of Fjordkraft Holding ASA as the new parent company in the Group.</t>
  </si>
  <si>
    <t>Other comprehensive income:</t>
  </si>
  <si>
    <t>Items that will not be reclassified to profit or loss:</t>
  </si>
  <si>
    <t>Actuarial (loss)/gain on pension obligations (net of tax)</t>
  </si>
  <si>
    <t>Total</t>
  </si>
  <si>
    <t>Total other comprehensive (loss)/income for the year, net of tax</t>
  </si>
  <si>
    <t>Total comprehensive income/(loss) for the year</t>
  </si>
  <si>
    <t>NOK 1000</t>
  </si>
  <si>
    <t>Assets</t>
  </si>
  <si>
    <t>Non-current assets</t>
  </si>
  <si>
    <t>Property, plant and equipment</t>
  </si>
  <si>
    <t>Intangible assets</t>
  </si>
  <si>
    <t>Other non-current assets</t>
  </si>
  <si>
    <t>Other non-current financial assets</t>
  </si>
  <si>
    <t>Total non-current assets</t>
  </si>
  <si>
    <t>Current assets</t>
  </si>
  <si>
    <t>Inventories</t>
  </si>
  <si>
    <t>Trade receivables</t>
  </si>
  <si>
    <t>Derivative financial instruments</t>
  </si>
  <si>
    <t>Other current assets</t>
  </si>
  <si>
    <t>Cash and cash equivalents</t>
  </si>
  <si>
    <t>Total current assets</t>
  </si>
  <si>
    <t>Total assets</t>
  </si>
  <si>
    <t>Equity and liabilities</t>
  </si>
  <si>
    <t>Equity</t>
  </si>
  <si>
    <t>Share capital</t>
  </si>
  <si>
    <t>Share premium</t>
  </si>
  <si>
    <t>Retained earnings</t>
  </si>
  <si>
    <t>Total equity</t>
  </si>
  <si>
    <t>Non-current liabilities</t>
  </si>
  <si>
    <t>Net employee defined benefit plan liabilities</t>
  </si>
  <si>
    <t>Deferred tax liabilities</t>
  </si>
  <si>
    <t>Total non-current liabilities</t>
  </si>
  <si>
    <t>Trade and other payables</t>
  </si>
  <si>
    <t>Current income tax liabilities</t>
  </si>
  <si>
    <t>Social security and other taxes</t>
  </si>
  <si>
    <t>Other current liabilities</t>
  </si>
  <si>
    <t>Total current liabilities</t>
  </si>
  <si>
    <t>Total liabilities</t>
  </si>
  <si>
    <t>Total equity and liabilities</t>
  </si>
  <si>
    <t>Operating activities</t>
  </si>
  <si>
    <t>Adjustments for:</t>
  </si>
  <si>
    <t>Depreciation</t>
  </si>
  <si>
    <t>Change in fair value of derivative financial instruments</t>
  </si>
  <si>
    <t>Change in post-employment liabilities</t>
  </si>
  <si>
    <t>Amortisation of contract assets</t>
  </si>
  <si>
    <t>Impairment loss recognised in trade receivables</t>
  </si>
  <si>
    <t>Changes in working capital:</t>
  </si>
  <si>
    <t>Purchase of el-certificates</t>
  </si>
  <si>
    <t>Non-cash effect from cancelling el-certificates</t>
  </si>
  <si>
    <t>Purchase of guarantees of origination</t>
  </si>
  <si>
    <t>Cash generated from operations</t>
  </si>
  <si>
    <t>Interest paid</t>
  </si>
  <si>
    <t>Interest received</t>
  </si>
  <si>
    <t>Income tax paid</t>
  </si>
  <si>
    <t>Net cash from operating activities</t>
  </si>
  <si>
    <t>Investing activities</t>
  </si>
  <si>
    <t>Purchases of property, plant and equipment</t>
  </si>
  <si>
    <t>Purchase of intangible assets</t>
  </si>
  <si>
    <t>Payments to obtain a contract (contract assets)</t>
  </si>
  <si>
    <t>Net (outflow)/proceeds from non-current receivables</t>
  </si>
  <si>
    <t>Net cash used in investing activities</t>
  </si>
  <si>
    <t>Financing activities</t>
  </si>
  <si>
    <t>Dividends paid</t>
  </si>
  <si>
    <t>Net cash used in financing activities</t>
  </si>
  <si>
    <t>Net change in cash and cash equivalents</t>
  </si>
  <si>
    <t>Cash and cash equivalents at 1 January</t>
  </si>
  <si>
    <t>Cash and cash equivalents at 31 December</t>
  </si>
  <si>
    <t>EBITDA margin</t>
  </si>
  <si>
    <t>EBIT margin</t>
  </si>
  <si>
    <t>Resultatmargin</t>
  </si>
  <si>
    <t>Likviditetsgrad 1</t>
  </si>
  <si>
    <t>Likviditetsgrad 3</t>
  </si>
  <si>
    <t>Likviditetsgrad 2</t>
  </si>
  <si>
    <t>Egenkapital andel</t>
  </si>
  <si>
    <t>Utbytte</t>
  </si>
  <si>
    <t>Utbytte yield (basert på 30,- per aksje)</t>
  </si>
  <si>
    <t>Note: There have been reduced payments
to dividends in 2017 in order to strengthen the
company’s equity.</t>
  </si>
  <si>
    <t>P/E</t>
  </si>
  <si>
    <t>P/B</t>
  </si>
  <si>
    <t>ROE</t>
  </si>
  <si>
    <t>ROA</t>
  </si>
  <si>
    <t>Aksjer utestående</t>
  </si>
  <si>
    <t>Utbytte / Resultat</t>
  </si>
  <si>
    <t>Pris per aksje (noteringskurs)</t>
  </si>
  <si>
    <t>Utbytte utbetaling gjort for året / CFO året før</t>
  </si>
  <si>
    <t>%</t>
  </si>
  <si>
    <t>BKK AS</t>
  </si>
  <si>
    <t>Skagerak Energi AS</t>
  </si>
  <si>
    <t>Statkraft Industrial AS</t>
  </si>
  <si>
    <t>Før</t>
  </si>
  <si>
    <t>Etter</t>
  </si>
  <si>
    <t>Sum</t>
  </si>
  <si>
    <t>Antall aksjer</t>
  </si>
  <si>
    <t>Andel før</t>
  </si>
  <si>
    <t>Andel etter</t>
  </si>
  <si>
    <t>Aksjer til salgs</t>
  </si>
  <si>
    <t>P/S</t>
  </si>
  <si>
    <t>Kontantstrøm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</si>
</sst>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\ %"/>
  </numFmts>
  <fonts count="4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3" fontId="1" fillId="0" borderId="0" xfId="0" applyNumberFormat="1" applyFont="1"/>
    <xf numFmtId="0" fontId="0" fillId="0" borderId="0" xfId="0" applyFont="1"/>
    <xf numFmtId="3" fontId="0" fillId="0" borderId="0" xfId="0" applyNumberFormat="1" applyFont="1"/>
    <xf numFmtId="9" fontId="0" fillId="0" borderId="0" xfId="1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2" fontId="0" fillId="0" borderId="1" xfId="0" applyNumberFormat="1" applyBorder="1"/>
    <xf numFmtId="9" fontId="0" fillId="0" borderId="1" xfId="1" applyFont="1" applyBorder="1"/>
    <xf numFmtId="0" fontId="0" fillId="0" borderId="0" xfId="0" applyAlignment="1">
      <alignment horizontal="right"/>
    </xf>
    <xf numFmtId="10" fontId="0" fillId="0" borderId="0" xfId="1" applyNumberFormat="1" applyFont="1"/>
    <xf numFmtId="0" fontId="1" fillId="0" borderId="0" xfId="0" applyFont="1" applyFill="1" applyBorder="1"/>
    <xf numFmtId="9" fontId="0" fillId="0" borderId="2" xfId="1" applyFont="1" applyBorder="1"/>
    <xf numFmtId="0" fontId="0" fillId="0" borderId="3" xfId="0" applyBorder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Egenkapitalandel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Nøkkeltall!$B$11</c:f>
              <c:strCache>
                <c:ptCount val="1"/>
                <c:pt idx="0">
                  <c:v>Egenkapital andel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Nøkkeltall!$C$2:$E$2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Nøkkeltall!$C$11:$E$11</c:f>
              <c:numCache>
                <c:formatCode>0.0\ %</c:formatCode>
                <c:ptCount val="3"/>
                <c:pt idx="0">
                  <c:v>0.36228248783375933</c:v>
                </c:pt>
                <c:pt idx="1">
                  <c:v>0.35077162087373404</c:v>
                </c:pt>
                <c:pt idx="2">
                  <c:v>0.33746158618944894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C-3B49-9692-8DDB2515E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8104400"/>
        <c:axId val="1277603904"/>
      </c:barChart>
      <c:catAx>
        <c:axId val="127810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77603904"/>
        <c:crosses val="autoZero"/>
        <c:auto val="1"/>
        <c:lblAlgn val="ctr"/>
        <c:lblOffset val="100"/>
        <c:noMultiLvlLbl val="0"/>
      </c:catAx>
      <c:valAx>
        <c:axId val="127760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7810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" l="0" r="0" t="0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Nøkkeltall!$B$8</c:f>
              <c:strCache>
                <c:ptCount val="1"/>
                <c:pt idx="0">
                  <c:v>Likviditetsgrad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Nøkkeltall!$C$2:$E$2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Nøkkeltall!$C$8:$E$8</c:f>
              <c:numCache>
                <c:formatCode>0.00</c:formatCode>
                <c:ptCount val="3"/>
                <c:pt idx="0">
                  <c:v>1.5044546746840317</c:v>
                </c:pt>
                <c:pt idx="1">
                  <c:v>1.4498199342040052</c:v>
                </c:pt>
                <c:pt idx="2">
                  <c:v>1.4285732688918089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5-484C-8B8E-86428B034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6608320"/>
        <c:axId val="1276728224"/>
      </c:barChart>
      <c:catAx>
        <c:axId val="127660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76728224"/>
        <c:crosses val="autoZero"/>
        <c:auto val="1"/>
        <c:lblAlgn val="ctr"/>
        <c:lblOffset val="100"/>
        <c:noMultiLvlLbl val="0"/>
      </c:catAx>
      <c:valAx>
        <c:axId val="127672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7660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" l="0" r="0" t="0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Nøkkeltall!$B$13</c:f>
              <c:strCache>
                <c:ptCount val="1"/>
                <c:pt idx="0">
                  <c:v>Utbytte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Nøkkeltall!$C$2:$E$2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Nøkkeltall!$C$13:$E$13</c:f>
              <c:numCache>
                <c:formatCode>General</c:formatCode>
                <c:ptCount val="3"/>
                <c:pt idx="0">
                  <c:v>1.5</c:v>
                </c:pt>
                <c:pt idx="1">
                  <c:v>1.1499999999999999</c:v>
                </c:pt>
                <c:pt idx="2">
                  <c:v>0.96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2-EE45-AC91-94D5695DF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1676528"/>
        <c:axId val="1277997840"/>
      </c:barChart>
      <c:catAx>
        <c:axId val="128167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77997840"/>
        <c:crosses val="autoZero"/>
        <c:auto val="1"/>
        <c:lblAlgn val="ctr"/>
        <c:lblOffset val="100"/>
        <c:noMultiLvlLbl val="0"/>
      </c:catAx>
      <c:valAx>
        <c:axId val="127799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8167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" l="0" r="0" t="0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8304</xdr:colOff>
      <xdr:row>19</xdr:row>
      <xdr:rowOff>175846</xdr:rowOff>
    </xdr:from>
    <xdr:to>
      <xdr:col>13</xdr:col>
      <xdr:colOff>255954</xdr:colOff>
      <xdr:row>34</xdr:row>
      <xdr:rowOff>146864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2AA4677-B684-4740-9849-26EEED0EE2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10258</xdr:colOff>
      <xdr:row>36</xdr:row>
      <xdr:rowOff>23446</xdr:rowOff>
    </xdr:from>
    <xdr:to>
      <xdr:col>13</xdr:col>
      <xdr:colOff>242928</xdr:colOff>
      <xdr:row>50</xdr:row>
      <xdr:rowOff>67083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E663492-1DD5-5D49-AE62-43559117F0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10258</xdr:colOff>
      <xdr:row>1</xdr:row>
      <xdr:rowOff>1953</xdr:rowOff>
    </xdr:from>
    <xdr:to>
      <xdr:col>13</xdr:col>
      <xdr:colOff>266374</xdr:colOff>
      <xdr:row>19</xdr:row>
      <xdr:rowOff>22469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801D57B-6818-D847-81FC-53A8FED77E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workbookViewId="0"/>
  </sheetViews>
  <sheetFormatPr baseColWidth="10" defaultRowHeight="16"/>
  <cols>
    <col min="2" max="2" width="54.6640625" customWidth="1"/>
    <col min="5" max="5" width="12.5" customWidth="1"/>
  </cols>
  <sheetData>
    <row r="2" spans="2:6">
      <c r="B2" t="s">
        <v>25</v>
      </c>
    </row>
    <row r="3" spans="2:6">
      <c r="C3" s="1">
        <v>2016</v>
      </c>
      <c r="D3" s="1">
        <v>2017</v>
      </c>
      <c r="E3" s="15" t="s">
        <v>104</v>
      </c>
    </row>
    <row r="4" spans="2:6">
      <c r="B4" t="s">
        <v>0</v>
      </c>
      <c r="C4" s="2">
        <v>3925007</v>
      </c>
      <c r="D4" s="2">
        <v>4452510</v>
      </c>
      <c r="E4" s="7">
        <f>(D4-C4)/C4</f>
        <v>0.13439542910369331</v>
      </c>
    </row>
    <row r="5" spans="2:6">
      <c r="B5" t="s">
        <v>1</v>
      </c>
      <c r="C5" s="2">
        <v>-3144538</v>
      </c>
      <c r="D5" s="2">
        <v>-3540521</v>
      </c>
      <c r="E5" s="7">
        <f t="shared" ref="E5:E27" si="0">(D5-C5)/C5</f>
        <v>0.12592724273009262</v>
      </c>
    </row>
    <row r="6" spans="2:6">
      <c r="B6" s="1" t="s">
        <v>2</v>
      </c>
      <c r="C6" s="4">
        <v>780469</v>
      </c>
      <c r="D6" s="4">
        <v>911989</v>
      </c>
      <c r="E6" s="7">
        <f t="shared" si="0"/>
        <v>0.16851406013563638</v>
      </c>
    </row>
    <row r="7" spans="2:6">
      <c r="E7" s="7"/>
      <c r="F7" s="2"/>
    </row>
    <row r="8" spans="2:6">
      <c r="B8" t="s">
        <v>3</v>
      </c>
      <c r="C8" s="2">
        <v>-135636</v>
      </c>
      <c r="D8" s="2">
        <v>-178751</v>
      </c>
      <c r="E8" s="7">
        <f t="shared" si="0"/>
        <v>0.31787283612020406</v>
      </c>
    </row>
    <row r="9" spans="2:6">
      <c r="B9" t="s">
        <v>4</v>
      </c>
      <c r="C9" s="2">
        <v>-238227</v>
      </c>
      <c r="D9" s="2">
        <v>-312923</v>
      </c>
      <c r="E9" s="7">
        <f t="shared" si="0"/>
        <v>0.31354968160619912</v>
      </c>
    </row>
    <row r="10" spans="2:6">
      <c r="B10" t="s">
        <v>5</v>
      </c>
      <c r="C10" s="2">
        <v>-68511</v>
      </c>
      <c r="D10" s="2">
        <v>-105578</v>
      </c>
      <c r="E10" s="7">
        <f t="shared" si="0"/>
        <v>0.54103720570419345</v>
      </c>
    </row>
    <row r="11" spans="2:6">
      <c r="B11" s="1" t="s">
        <v>6</v>
      </c>
      <c r="C11" s="4">
        <v>-442374</v>
      </c>
      <c r="D11" s="4">
        <v>-597252</v>
      </c>
      <c r="E11" s="7">
        <f t="shared" si="0"/>
        <v>0.35010647099513081</v>
      </c>
    </row>
    <row r="12" spans="2:6">
      <c r="E12" s="7"/>
    </row>
    <row r="13" spans="2:6">
      <c r="B13" t="s">
        <v>7</v>
      </c>
      <c r="C13">
        <v>-888</v>
      </c>
      <c r="D13" s="2">
        <v>7884</v>
      </c>
      <c r="E13" s="7">
        <f t="shared" si="0"/>
        <v>-9.878378378378379</v>
      </c>
    </row>
    <row r="14" spans="2:6">
      <c r="B14" s="1" t="s">
        <v>8</v>
      </c>
      <c r="C14" s="4">
        <v>337207</v>
      </c>
      <c r="D14" s="4">
        <v>322620</v>
      </c>
      <c r="E14" s="7">
        <f t="shared" si="0"/>
        <v>-4.3258295349740662E-2</v>
      </c>
    </row>
    <row r="15" spans="2:6">
      <c r="E15" s="7"/>
    </row>
    <row r="16" spans="2:6">
      <c r="B16" t="s">
        <v>9</v>
      </c>
      <c r="C16" s="2">
        <v>8118</v>
      </c>
      <c r="D16" s="2">
        <v>11801</v>
      </c>
      <c r="E16" s="7">
        <f t="shared" si="0"/>
        <v>0.45368317319536833</v>
      </c>
    </row>
    <row r="17" spans="2:5">
      <c r="B17" t="s">
        <v>10</v>
      </c>
      <c r="C17">
        <v>-467</v>
      </c>
      <c r="D17">
        <v>-175</v>
      </c>
      <c r="E17" s="7">
        <f t="shared" si="0"/>
        <v>-0.62526766595289074</v>
      </c>
    </row>
    <row r="18" spans="2:5">
      <c r="B18" t="s">
        <v>11</v>
      </c>
      <c r="C18" s="2">
        <v>-2164</v>
      </c>
      <c r="D18" s="2">
        <v>-2779</v>
      </c>
      <c r="E18" s="7">
        <f t="shared" si="0"/>
        <v>0.28419593345656191</v>
      </c>
    </row>
    <row r="19" spans="2:5">
      <c r="B19" s="1" t="s">
        <v>12</v>
      </c>
      <c r="C19" s="4">
        <v>5488</v>
      </c>
      <c r="D19" s="4">
        <v>8847</v>
      </c>
      <c r="E19" s="7">
        <f t="shared" si="0"/>
        <v>0.61206268221574345</v>
      </c>
    </row>
    <row r="20" spans="2:5">
      <c r="E20" s="7"/>
    </row>
    <row r="21" spans="2:5">
      <c r="B21" s="1" t="s">
        <v>13</v>
      </c>
      <c r="C21" s="4">
        <v>342695</v>
      </c>
      <c r="D21" s="4">
        <v>331467</v>
      </c>
      <c r="E21" s="7">
        <f t="shared" si="0"/>
        <v>-3.2763827893608016E-2</v>
      </c>
    </row>
    <row r="22" spans="2:5">
      <c r="E22" s="7"/>
    </row>
    <row r="23" spans="2:5">
      <c r="B23" t="s">
        <v>14</v>
      </c>
      <c r="C23" s="2">
        <v>-85644</v>
      </c>
      <c r="D23" s="2">
        <v>-79527</v>
      </c>
      <c r="E23" s="7">
        <f t="shared" si="0"/>
        <v>-7.1423567325206674E-2</v>
      </c>
    </row>
    <row r="24" spans="2:5">
      <c r="B24" s="1" t="s">
        <v>15</v>
      </c>
      <c r="C24" s="4">
        <v>257051</v>
      </c>
      <c r="D24" s="4">
        <v>251941</v>
      </c>
      <c r="E24" s="7">
        <f t="shared" si="0"/>
        <v>-1.9879323558360015E-2</v>
      </c>
    </row>
    <row r="25" spans="2:5">
      <c r="E25" s="7"/>
    </row>
    <row r="26" spans="2:5">
      <c r="B26" t="s">
        <v>16</v>
      </c>
      <c r="C26">
        <v>2.46</v>
      </c>
      <c r="D26">
        <v>2.41</v>
      </c>
      <c r="E26" s="7">
        <f t="shared" si="0"/>
        <v>-2.0325203252032447E-2</v>
      </c>
    </row>
    <row r="27" spans="2:5">
      <c r="B27" t="s">
        <v>17</v>
      </c>
      <c r="C27">
        <v>2.46</v>
      </c>
      <c r="D27">
        <v>2.41</v>
      </c>
      <c r="E27" s="7">
        <f t="shared" si="0"/>
        <v>-2.0325203252032447E-2</v>
      </c>
    </row>
    <row r="29" spans="2:5">
      <c r="B29" s="3" t="s">
        <v>18</v>
      </c>
    </row>
    <row r="31" spans="2:5">
      <c r="B31" s="1" t="s">
        <v>15</v>
      </c>
      <c r="C31" s="2">
        <v>257051</v>
      </c>
      <c r="D31" s="2">
        <v>251941</v>
      </c>
    </row>
    <row r="33" spans="2:4">
      <c r="B33" s="1" t="s">
        <v>19</v>
      </c>
    </row>
    <row r="34" spans="2:4">
      <c r="B34" s="5" t="s">
        <v>20</v>
      </c>
    </row>
    <row r="35" spans="2:4">
      <c r="B35" t="s">
        <v>21</v>
      </c>
      <c r="C35" s="2">
        <v>2299</v>
      </c>
      <c r="D35" s="2">
        <v>-20008</v>
      </c>
    </row>
    <row r="36" spans="2:4">
      <c r="B36" s="1" t="s">
        <v>22</v>
      </c>
      <c r="C36" s="2">
        <v>2299</v>
      </c>
      <c r="D36" s="2">
        <v>-20008</v>
      </c>
    </row>
    <row r="38" spans="2:4">
      <c r="B38" s="1" t="s">
        <v>23</v>
      </c>
      <c r="C38" s="2">
        <v>2299</v>
      </c>
      <c r="D38" s="2">
        <v>-20008</v>
      </c>
    </row>
    <row r="40" spans="2:4">
      <c r="B40" s="1" t="s">
        <v>24</v>
      </c>
      <c r="C40" s="4">
        <v>259350</v>
      </c>
      <c r="D40" s="4">
        <v>231932</v>
      </c>
    </row>
  </sheetData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5"/>
  <sheetViews>
    <sheetView workbookViewId="0"/>
  </sheetViews>
  <sheetFormatPr baseColWidth="10" defaultRowHeight="16"/>
  <cols>
    <col min="2" max="2" width="38.5" bestFit="1" customWidth="1"/>
  </cols>
  <sheetData>
    <row r="2" spans="2:5">
      <c r="B2" t="s">
        <v>25</v>
      </c>
    </row>
    <row r="3" spans="2:5">
      <c r="B3" s="1" t="s">
        <v>26</v>
      </c>
      <c r="C3" s="1">
        <v>2015</v>
      </c>
      <c r="D3" s="1">
        <v>2016</v>
      </c>
      <c r="E3" s="1">
        <v>2017</v>
      </c>
    </row>
    <row r="5" spans="2:5">
      <c r="B5" s="1" t="s">
        <v>27</v>
      </c>
    </row>
    <row r="6" spans="2:5">
      <c r="B6" t="s">
        <v>28</v>
      </c>
      <c r="C6" s="2">
        <v>2478</v>
      </c>
      <c r="D6" s="2">
        <v>3127</v>
      </c>
      <c r="E6" s="2">
        <v>3568</v>
      </c>
    </row>
    <row r="7" spans="2:5">
      <c r="B7" t="s">
        <v>29</v>
      </c>
      <c r="C7" s="2">
        <v>60706</v>
      </c>
      <c r="D7" s="2">
        <v>69795</v>
      </c>
      <c r="E7" s="2">
        <v>82096</v>
      </c>
    </row>
    <row r="8" spans="2:5">
      <c r="B8" t="s">
        <v>30</v>
      </c>
      <c r="C8" s="2">
        <v>63817</v>
      </c>
      <c r="D8" s="2">
        <v>101149</v>
      </c>
      <c r="E8" s="2">
        <v>137536</v>
      </c>
    </row>
    <row r="9" spans="2:5">
      <c r="B9" t="s">
        <v>31</v>
      </c>
      <c r="C9" s="2">
        <v>15489</v>
      </c>
      <c r="D9" s="2">
        <v>13859</v>
      </c>
      <c r="E9" s="2">
        <v>14198</v>
      </c>
    </row>
    <row r="10" spans="2:5">
      <c r="B10" s="1" t="s">
        <v>32</v>
      </c>
      <c r="C10" s="4">
        <v>142490</v>
      </c>
      <c r="D10" s="4">
        <v>187930</v>
      </c>
      <c r="E10" s="4">
        <v>237398</v>
      </c>
    </row>
    <row r="12" spans="2:5">
      <c r="B12" s="1" t="s">
        <v>33</v>
      </c>
    </row>
    <row r="13" spans="2:5">
      <c r="B13" t="s">
        <v>29</v>
      </c>
      <c r="C13" s="2">
        <v>11139</v>
      </c>
      <c r="D13" s="2">
        <v>5424</v>
      </c>
      <c r="E13" s="2">
        <v>2569</v>
      </c>
    </row>
    <row r="14" spans="2:5">
      <c r="B14" t="s">
        <v>34</v>
      </c>
      <c r="C14">
        <v>0</v>
      </c>
      <c r="D14">
        <v>0</v>
      </c>
      <c r="E14" s="2">
        <v>1394</v>
      </c>
    </row>
    <row r="15" spans="2:5">
      <c r="B15" t="s">
        <v>35</v>
      </c>
      <c r="C15" s="2">
        <v>654560</v>
      </c>
      <c r="D15" s="2">
        <v>1204894</v>
      </c>
      <c r="E15" s="2">
        <v>1364519</v>
      </c>
    </row>
    <row r="16" spans="2:5">
      <c r="B16" t="s">
        <v>36</v>
      </c>
      <c r="C16" s="2">
        <v>178423</v>
      </c>
      <c r="D16" s="2">
        <v>96867</v>
      </c>
      <c r="E16" s="2">
        <v>113435</v>
      </c>
    </row>
    <row r="17" spans="2:5">
      <c r="B17" t="s">
        <v>37</v>
      </c>
      <c r="C17" s="2">
        <v>64919</v>
      </c>
      <c r="D17" s="2">
        <v>35433</v>
      </c>
      <c r="E17" s="2">
        <v>40083</v>
      </c>
    </row>
    <row r="18" spans="2:5">
      <c r="B18" t="s">
        <v>38</v>
      </c>
      <c r="C18" s="2">
        <v>333448</v>
      </c>
      <c r="D18" s="2">
        <v>193226</v>
      </c>
      <c r="E18" s="6">
        <v>363212</v>
      </c>
    </row>
    <row r="19" spans="2:5">
      <c r="B19" s="1" t="s">
        <v>39</v>
      </c>
      <c r="C19" s="4">
        <v>1242490</v>
      </c>
      <c r="D19" s="4">
        <v>1535845</v>
      </c>
      <c r="E19" s="4">
        <v>1885211</v>
      </c>
    </row>
    <row r="21" spans="2:5">
      <c r="B21" s="1" t="s">
        <v>40</v>
      </c>
      <c r="C21" s="4">
        <v>1384980</v>
      </c>
      <c r="D21" s="4">
        <v>1723774</v>
      </c>
      <c r="E21" s="4">
        <v>2122609</v>
      </c>
    </row>
    <row r="23" spans="2:5">
      <c r="B23" s="1" t="s">
        <v>41</v>
      </c>
    </row>
    <row r="25" spans="2:5">
      <c r="B25" s="1" t="s">
        <v>42</v>
      </c>
    </row>
    <row r="26" spans="2:5">
      <c r="B26" t="s">
        <v>43</v>
      </c>
      <c r="C26" s="2">
        <v>31352</v>
      </c>
      <c r="D26" s="2">
        <v>31352</v>
      </c>
      <c r="E26" s="2">
        <v>31349</v>
      </c>
    </row>
    <row r="27" spans="2:5">
      <c r="B27" t="s">
        <v>44</v>
      </c>
      <c r="C27" s="2">
        <v>125032</v>
      </c>
      <c r="D27" s="2">
        <v>125032</v>
      </c>
      <c r="E27" s="2">
        <v>125035</v>
      </c>
    </row>
    <row r="28" spans="2:5">
      <c r="B28" t="s">
        <v>45</v>
      </c>
      <c r="C28" s="2">
        <v>345370</v>
      </c>
      <c r="D28" s="2">
        <v>448268</v>
      </c>
      <c r="E28" s="2">
        <v>559916</v>
      </c>
    </row>
    <row r="29" spans="2:5">
      <c r="B29" s="1" t="s">
        <v>46</v>
      </c>
      <c r="C29" s="4">
        <v>501754</v>
      </c>
      <c r="D29" s="4">
        <v>604651</v>
      </c>
      <c r="E29" s="4">
        <v>716299</v>
      </c>
    </row>
    <row r="31" spans="2:5">
      <c r="B31" s="1" t="s">
        <v>47</v>
      </c>
    </row>
    <row r="32" spans="2:5">
      <c r="B32" t="s">
        <v>48</v>
      </c>
      <c r="C32" s="2">
        <v>54695</v>
      </c>
      <c r="D32" s="2">
        <v>47420</v>
      </c>
      <c r="E32" s="2">
        <v>73720</v>
      </c>
    </row>
    <row r="33" spans="2:5">
      <c r="B33" t="s">
        <v>49</v>
      </c>
      <c r="C33" s="2">
        <v>2657</v>
      </c>
      <c r="D33" s="2">
        <v>12368</v>
      </c>
      <c r="E33" s="2">
        <v>12944</v>
      </c>
    </row>
    <row r="34" spans="2:5">
      <c r="B34" s="1" t="s">
        <v>50</v>
      </c>
      <c r="C34" s="4">
        <v>57352</v>
      </c>
      <c r="D34" s="4">
        <v>59788</v>
      </c>
      <c r="E34" s="4">
        <v>86664</v>
      </c>
    </row>
    <row r="36" spans="2:5">
      <c r="B36" t="s">
        <v>51</v>
      </c>
      <c r="C36" s="2">
        <v>183442</v>
      </c>
      <c r="D36" s="2">
        <v>475867</v>
      </c>
      <c r="E36" s="2">
        <v>726631</v>
      </c>
    </row>
    <row r="37" spans="2:5">
      <c r="B37" t="s">
        <v>52</v>
      </c>
      <c r="C37" s="2">
        <v>84980</v>
      </c>
      <c r="D37" s="2">
        <v>70403</v>
      </c>
      <c r="E37" s="2">
        <v>71198</v>
      </c>
    </row>
    <row r="38" spans="2:5">
      <c r="B38" t="s">
        <v>36</v>
      </c>
      <c r="C38" s="2">
        <v>167412</v>
      </c>
      <c r="D38" s="2">
        <v>86744</v>
      </c>
      <c r="E38" s="2">
        <v>95428</v>
      </c>
    </row>
    <row r="39" spans="2:5">
      <c r="B39" t="s">
        <v>53</v>
      </c>
      <c r="C39" s="2">
        <v>22830</v>
      </c>
      <c r="D39" s="2">
        <v>47544</v>
      </c>
      <c r="E39" s="2">
        <v>50085</v>
      </c>
    </row>
    <row r="40" spans="2:5">
      <c r="B40" t="s">
        <v>54</v>
      </c>
      <c r="C40" s="2">
        <v>367210</v>
      </c>
      <c r="D40" s="2">
        <v>378777</v>
      </c>
      <c r="E40" s="2">
        <v>376304</v>
      </c>
    </row>
    <row r="41" spans="2:5">
      <c r="B41" s="1" t="s">
        <v>55</v>
      </c>
      <c r="C41" s="4">
        <v>825874</v>
      </c>
      <c r="D41" s="4">
        <v>1059335</v>
      </c>
      <c r="E41" s="4">
        <v>1319646</v>
      </c>
    </row>
    <row r="43" spans="2:5">
      <c r="B43" s="1" t="s">
        <v>56</v>
      </c>
      <c r="C43" s="4">
        <v>883226</v>
      </c>
      <c r="D43" s="4">
        <v>1119123</v>
      </c>
      <c r="E43" s="4">
        <v>1406310</v>
      </c>
    </row>
    <row r="45" spans="2:5">
      <c r="B45" s="1" t="s">
        <v>57</v>
      </c>
      <c r="C45" s="4">
        <v>1384980</v>
      </c>
      <c r="D45" s="4">
        <v>1723774</v>
      </c>
      <c r="E45" s="4">
        <v>2122609</v>
      </c>
    </row>
  </sheetData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topLeftCell="A8" workbookViewId="0">
      <selection activeCell="A9" sqref="A9"/>
    </sheetView>
  </sheetViews>
  <sheetFormatPr baseColWidth="10" defaultRowHeight="16"/>
  <cols>
    <col min="2" max="2" width="46.83203125" bestFit="1" customWidth="1"/>
  </cols>
  <sheetData>
    <row r="2" spans="2:5">
      <c r="B2" t="s">
        <v>25</v>
      </c>
    </row>
    <row r="3" spans="2:5">
      <c r="C3" s="1">
        <v>2016</v>
      </c>
      <c r="D3" s="1">
        <v>2017</v>
      </c>
      <c r="E3" s="1">
        <v>2018</v>
      </c>
    </row>
    <row r="4" spans="2:5">
      <c r="B4" s="1" t="s">
        <v>58</v>
      </c>
    </row>
    <row r="5" spans="2:5">
      <c r="B5" t="s">
        <v>13</v>
      </c>
      <c r="C5" s="2">
        <v>342695</v>
      </c>
      <c r="D5" s="2">
        <v>331467</v>
      </c>
    </row>
    <row r="7" spans="2:5">
      <c r="B7" s="1" t="s">
        <v>59</v>
      </c>
    </row>
    <row r="8" spans="2:5">
      <c r="B8" t="s">
        <v>60</v>
      </c>
      <c r="C8" s="2">
        <v>18378</v>
      </c>
      <c r="D8" s="2">
        <v>24372</v>
      </c>
    </row>
    <row r="9" spans="2:5">
      <c r="B9" t="s">
        <v>10</v>
      </c>
      <c r="C9">
        <v>467</v>
      </c>
      <c r="D9">
        <v>175</v>
      </c>
    </row>
    <row r="10" spans="2:5">
      <c r="B10" t="s">
        <v>9</v>
      </c>
      <c r="C10" s="2">
        <v>-8118</v>
      </c>
      <c r="D10" s="2">
        <v>-11801</v>
      </c>
    </row>
    <row r="11" spans="2:5">
      <c r="B11" t="s">
        <v>61</v>
      </c>
      <c r="C11">
        <v>888</v>
      </c>
      <c r="D11" s="2">
        <v>-7884</v>
      </c>
    </row>
    <row r="12" spans="2:5">
      <c r="B12" t="s">
        <v>62</v>
      </c>
      <c r="C12" s="2">
        <v>-4209</v>
      </c>
      <c r="D12">
        <v>-27</v>
      </c>
    </row>
    <row r="13" spans="2:5">
      <c r="B13" t="s">
        <v>63</v>
      </c>
      <c r="C13" s="2">
        <v>50133</v>
      </c>
      <c r="D13" s="2">
        <v>81206</v>
      </c>
    </row>
    <row r="14" spans="2:5">
      <c r="B14" t="s">
        <v>64</v>
      </c>
      <c r="C14" s="2">
        <v>4087</v>
      </c>
      <c r="D14" s="2">
        <v>11920</v>
      </c>
    </row>
    <row r="16" spans="2:5">
      <c r="B16" s="1" t="s">
        <v>65</v>
      </c>
    </row>
    <row r="17" spans="2:4">
      <c r="B17" t="s">
        <v>34</v>
      </c>
      <c r="C17" s="2">
        <v>0</v>
      </c>
      <c r="D17" s="2">
        <v>-1394</v>
      </c>
    </row>
    <row r="18" spans="2:4">
      <c r="B18" t="s">
        <v>35</v>
      </c>
      <c r="C18" s="2">
        <v>-554421</v>
      </c>
      <c r="D18" s="2">
        <v>-171544</v>
      </c>
    </row>
    <row r="19" spans="2:4">
      <c r="B19" t="s">
        <v>66</v>
      </c>
      <c r="C19" s="2">
        <v>-150321</v>
      </c>
      <c r="D19" s="2">
        <v>-210908</v>
      </c>
    </row>
    <row r="20" spans="2:4">
      <c r="B20" t="s">
        <v>67</v>
      </c>
      <c r="C20" s="2">
        <v>156036</v>
      </c>
      <c r="D20" s="2">
        <v>216322</v>
      </c>
    </row>
    <row r="21" spans="2:4">
      <c r="B21" t="s">
        <v>68</v>
      </c>
      <c r="C21" s="2">
        <v>0</v>
      </c>
      <c r="D21" s="2">
        <v>-2558</v>
      </c>
    </row>
    <row r="22" spans="2:4">
      <c r="B22" t="s">
        <v>37</v>
      </c>
      <c r="C22" s="2">
        <v>29487</v>
      </c>
      <c r="D22" s="2">
        <v>-4649</v>
      </c>
    </row>
    <row r="23" spans="2:4">
      <c r="B23" t="s">
        <v>51</v>
      </c>
      <c r="C23" s="2">
        <v>292425</v>
      </c>
      <c r="D23" s="2">
        <v>250764</v>
      </c>
    </row>
    <row r="24" spans="2:4">
      <c r="B24" t="s">
        <v>54</v>
      </c>
      <c r="C24" s="2">
        <v>34985</v>
      </c>
      <c r="D24">
        <v>-170</v>
      </c>
    </row>
    <row r="26" spans="2:4">
      <c r="B26" s="1" t="s">
        <v>69</v>
      </c>
      <c r="C26" s="4">
        <v>212511</v>
      </c>
      <c r="D26" s="4">
        <v>505292</v>
      </c>
    </row>
    <row r="28" spans="2:4">
      <c r="B28" t="s">
        <v>70</v>
      </c>
      <c r="C28">
        <v>-467</v>
      </c>
      <c r="D28">
        <v>-175</v>
      </c>
    </row>
    <row r="29" spans="2:4">
      <c r="B29" t="s">
        <v>71</v>
      </c>
      <c r="C29" s="2">
        <v>8118</v>
      </c>
      <c r="D29" s="2">
        <v>11801</v>
      </c>
    </row>
    <row r="30" spans="2:4">
      <c r="B30" t="s">
        <v>72</v>
      </c>
      <c r="C30" s="2">
        <v>-89981</v>
      </c>
      <c r="D30" s="2">
        <v>-71799</v>
      </c>
    </row>
    <row r="32" spans="2:4">
      <c r="B32" s="1" t="s">
        <v>73</v>
      </c>
      <c r="C32" s="4">
        <v>130181</v>
      </c>
      <c r="D32" s="4">
        <v>445119</v>
      </c>
    </row>
    <row r="34" spans="2:5">
      <c r="B34" s="1" t="s">
        <v>74</v>
      </c>
    </row>
    <row r="35" spans="2:5">
      <c r="B35" t="s">
        <v>75</v>
      </c>
      <c r="C35" s="2">
        <v>-1533</v>
      </c>
      <c r="D35" s="2">
        <v>-1309</v>
      </c>
    </row>
    <row r="36" spans="2:5">
      <c r="B36" t="s">
        <v>76</v>
      </c>
      <c r="C36" s="2">
        <v>-26583</v>
      </c>
      <c r="D36" s="2">
        <v>-35807</v>
      </c>
    </row>
    <row r="37" spans="2:5">
      <c r="B37" t="s">
        <v>77</v>
      </c>
      <c r="C37" s="2">
        <v>-87465</v>
      </c>
      <c r="D37" s="2">
        <v>-117594</v>
      </c>
    </row>
    <row r="38" spans="2:5">
      <c r="B38" t="s">
        <v>78</v>
      </c>
      <c r="C38" s="2">
        <v>1630</v>
      </c>
      <c r="D38">
        <v>-339</v>
      </c>
    </row>
    <row r="40" spans="2:5">
      <c r="B40" s="1" t="s">
        <v>79</v>
      </c>
      <c r="C40" s="4">
        <v>-113951</v>
      </c>
      <c r="D40" s="4">
        <v>-155048</v>
      </c>
    </row>
    <row r="42" spans="2:5">
      <c r="B42" s="1" t="s">
        <v>80</v>
      </c>
    </row>
    <row r="43" spans="2:5">
      <c r="B43" t="s">
        <v>81</v>
      </c>
      <c r="C43" s="2">
        <v>-156453</v>
      </c>
      <c r="D43" s="2">
        <v>-120084</v>
      </c>
      <c r="E43">
        <v>-100000</v>
      </c>
    </row>
    <row r="45" spans="2:5">
      <c r="B45" s="1" t="s">
        <v>82</v>
      </c>
      <c r="C45" s="4">
        <v>-156453</v>
      </c>
      <c r="D45" s="4">
        <v>-120084</v>
      </c>
    </row>
    <row r="47" spans="2:5">
      <c r="B47" s="1" t="s">
        <v>83</v>
      </c>
      <c r="C47" s="4">
        <v>-140223</v>
      </c>
      <c r="D47" s="4">
        <v>169987</v>
      </c>
    </row>
    <row r="48" spans="2:5">
      <c r="B48" t="s">
        <v>84</v>
      </c>
      <c r="C48" s="2">
        <v>333448</v>
      </c>
      <c r="D48" s="2">
        <v>193226</v>
      </c>
    </row>
    <row r="49" spans="2:4">
      <c r="B49" s="1" t="s">
        <v>85</v>
      </c>
      <c r="C49" s="4">
        <v>193226</v>
      </c>
      <c r="D49" s="4">
        <v>363212</v>
      </c>
    </row>
  </sheetData>
  <pageMargins left="0" right="0" top="0" bottom="0" header="0" footer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showGridLines="0" zoomScale="78" zoomScaleNormal="78" workbookViewId="0"/>
  </sheetViews>
  <sheetFormatPr baseColWidth="10" defaultRowHeight="16"/>
  <cols>
    <col min="2" max="2" width="40.33203125" bestFit="1" customWidth="1"/>
    <col min="5" max="5" width="13.6640625" customWidth="1"/>
  </cols>
  <sheetData>
    <row r="2" spans="2:8">
      <c r="C2" s="9">
        <v>2015</v>
      </c>
      <c r="D2" s="9">
        <v>2016</v>
      </c>
      <c r="E2" s="9">
        <v>2017</v>
      </c>
      <c r="F2" s="17">
        <v>2018</v>
      </c>
    </row>
    <row r="3" spans="2:8">
      <c r="B3" s="1" t="s">
        <v>102</v>
      </c>
      <c r="C3" s="9"/>
      <c r="D3" s="10">
        <v>30</v>
      </c>
      <c r="E3" s="10">
        <v>30</v>
      </c>
    </row>
    <row r="4" spans="2:8">
      <c r="B4" s="1" t="s">
        <v>86</v>
      </c>
      <c r="C4" s="11"/>
      <c r="D4" s="12">
        <f>Inntektsrapport!C6/Inntektsrapport!C4</f>
        <v>0.19884525046706922</v>
      </c>
      <c r="E4" s="12">
        <f>Inntektsrapport!D6/Inntektsrapport!D4</f>
        <v>0.20482581734796779</v>
      </c>
      <c r="H4" s="7"/>
    </row>
    <row r="5" spans="2:8">
      <c r="B5" s="1" t="s">
        <v>87</v>
      </c>
      <c r="C5" s="11"/>
      <c r="D5" s="12">
        <f>Inntektsrapport!C14/Inntektsrapport!C4</f>
        <v>8.5912458245297391E-2</v>
      </c>
      <c r="E5" s="12">
        <f>Inntektsrapport!D14/Inntektsrapport!D4</f>
        <v>7.2458006832101449E-2</v>
      </c>
    </row>
    <row r="6" spans="2:8">
      <c r="B6" s="1" t="s">
        <v>88</v>
      </c>
      <c r="C6" s="11"/>
      <c r="D6" s="12">
        <f>Inntektsrapport!C24/Inntektsrapport!C4</f>
        <v>6.5490583838449204E-2</v>
      </c>
      <c r="E6" s="12">
        <f>Inntektsrapport!D24/Inntektsrapport!D4</f>
        <v>5.6584039115016027E-2</v>
      </c>
    </row>
    <row r="7" spans="2:8">
      <c r="B7" s="1"/>
      <c r="C7" s="11"/>
      <c r="D7" s="11"/>
      <c r="E7" s="11"/>
    </row>
    <row r="8" spans="2:8">
      <c r="B8" s="1" t="s">
        <v>89</v>
      </c>
      <c r="C8" s="13">
        <f>Balanserapport!C19/Balanserapport!C41</f>
        <v>1.5044546746840317</v>
      </c>
      <c r="D8" s="13">
        <f>Balanserapport!D19/Balanserapport!D41</f>
        <v>1.4498199342040052</v>
      </c>
      <c r="E8" s="13">
        <f>Balanserapport!E19/Balanserapport!E41</f>
        <v>1.4285732688918089</v>
      </c>
    </row>
    <row r="9" spans="2:8">
      <c r="B9" s="1" t="s">
        <v>91</v>
      </c>
      <c r="C9" s="13">
        <f>(Balanserapport!C19-Balanserapport!C14)/Balanserapport!C41</f>
        <v>1.5044546746840317</v>
      </c>
      <c r="D9" s="13">
        <f>(Balanserapport!D19-Balanserapport!D14)/Balanserapport!D41</f>
        <v>1.4498199342040052</v>
      </c>
      <c r="E9" s="13">
        <f>(Balanserapport!E19-Balanserapport!E14)/Balanserapport!E41</f>
        <v>1.4275169249935209</v>
      </c>
    </row>
    <row r="10" spans="2:8">
      <c r="B10" s="1" t="s">
        <v>90</v>
      </c>
      <c r="C10" s="13">
        <f>Balanserapport!C18/Balanserapport!C41</f>
        <v>0.40375166187578249</v>
      </c>
      <c r="D10" s="13">
        <f>Balanserapport!D18/Balanserapport!D41</f>
        <v>0.18240311138591664</v>
      </c>
      <c r="E10" s="13">
        <f>Balanserapport!E18/Balanserapport!E41</f>
        <v>0.27523441892750028</v>
      </c>
    </row>
    <row r="11" spans="2:8">
      <c r="B11" s="1" t="s">
        <v>92</v>
      </c>
      <c r="C11" s="12">
        <f>Balanserapport!C29/Balanserapport!C21</f>
        <v>0.36228248783375933</v>
      </c>
      <c r="D11" s="12">
        <f>Balanserapport!D29/Balanserapport!D21</f>
        <v>0.35077162087373404</v>
      </c>
      <c r="E11" s="12">
        <f>Balanserapport!E29/Balanserapport!E21</f>
        <v>0.33746158618944894</v>
      </c>
    </row>
    <row r="12" spans="2:8">
      <c r="B12" s="1"/>
      <c r="C12" s="11"/>
      <c r="D12" s="11"/>
      <c r="E12" s="11"/>
    </row>
    <row r="13" spans="2:8">
      <c r="B13" s="1" t="s">
        <v>93</v>
      </c>
      <c r="C13" s="11">
        <v>1.5</v>
      </c>
      <c r="D13" s="11">
        <v>1.1499999999999999</v>
      </c>
      <c r="E13" s="11">
        <v>0.96</v>
      </c>
    </row>
    <row r="14" spans="2:8">
      <c r="B14" s="1" t="s">
        <v>94</v>
      </c>
      <c r="C14" s="12">
        <f>C13/30</f>
        <v>0.05</v>
      </c>
      <c r="D14" s="12">
        <f>D13/30</f>
        <v>3.833333333333333E-2</v>
      </c>
      <c r="E14" s="12">
        <f>E13/30</f>
        <v>3.2000000000000001E-2</v>
      </c>
    </row>
    <row r="15" spans="2:8">
      <c r="B15" s="1" t="s">
        <v>101</v>
      </c>
      <c r="C15" s="11"/>
      <c r="D15" s="18">
        <f>D13/Inntektsrapport!C27</f>
        <v>0.46747967479674796</v>
      </c>
      <c r="E15" s="14">
        <f>E13/Inntektsrapport!D27</f>
        <v>0.39834024896265557</v>
      </c>
    </row>
    <row r="16" spans="2:8">
      <c r="B16" s="1"/>
      <c r="C16" s="11"/>
      <c r="D16" s="14"/>
      <c r="E16" s="14"/>
    </row>
    <row r="17" spans="2:6">
      <c r="B17" s="1" t="s">
        <v>116</v>
      </c>
      <c r="C17" s="11"/>
      <c r="D17" s="14"/>
      <c r="E17" s="14"/>
    </row>
    <row r="18" spans="2:6">
      <c r="B18" s="5" t="s">
        <v>103</v>
      </c>
      <c r="C18" s="11"/>
      <c r="D18" s="11"/>
      <c r="E18" s="14">
        <f>-Kontantstrømrapport!D43/Kontantstrømrapport!C32</f>
        <v>0.92243875834415157</v>
      </c>
      <c r="F18" s="14">
        <f>-Kontantstrømrapport!E43/Kontantstrømrapport!D32</f>
        <v>0.22465902376667812</v>
      </c>
    </row>
    <row r="19" spans="2:6">
      <c r="B19" s="1"/>
      <c r="C19" s="11"/>
      <c r="D19" s="19"/>
      <c r="E19" s="11"/>
    </row>
    <row r="20" spans="2:6" ht="48">
      <c r="B20" s="8" t="s">
        <v>95</v>
      </c>
      <c r="C20" s="11"/>
      <c r="D20" s="11"/>
      <c r="E20" s="11"/>
    </row>
    <row r="21" spans="2:6">
      <c r="B21" s="1" t="s">
        <v>100</v>
      </c>
      <c r="C21" s="11"/>
      <c r="D21" s="11">
        <v>104496216</v>
      </c>
      <c r="E21" s="11">
        <v>104496216</v>
      </c>
    </row>
    <row r="22" spans="2:6">
      <c r="B22" s="1"/>
      <c r="C22" s="11"/>
      <c r="D22" s="11"/>
      <c r="E22" s="11"/>
    </row>
    <row r="23" spans="2:6">
      <c r="B23" s="1" t="s">
        <v>96</v>
      </c>
      <c r="C23" s="11"/>
      <c r="D23" s="13">
        <f>30/Inntektsrapport!C27</f>
        <v>12.195121951219512</v>
      </c>
      <c r="E23" s="13">
        <f>30/Inntektsrapport!D27</f>
        <v>12.448132780082986</v>
      </c>
    </row>
    <row r="24" spans="2:6">
      <c r="B24" s="1" t="s">
        <v>115</v>
      </c>
      <c r="C24" s="11"/>
      <c r="D24" s="13">
        <f>(30/(Inntektsrapport!C4/Nøkkeltall!D21))/1000</f>
        <v>0.79869576793111441</v>
      </c>
      <c r="E24" s="13">
        <f>(30/(Inntektsrapport!D4/Nøkkeltall!E21))/1000</f>
        <v>0.70407174380293358</v>
      </c>
    </row>
    <row r="25" spans="2:6">
      <c r="B25" s="1" t="s">
        <v>97</v>
      </c>
      <c r="C25" s="11"/>
      <c r="D25" s="13">
        <f>((D21/1000)*D3)/((Balanserapport!D29+Balanserapport!C29)/2)</f>
        <v>5.6667973843212929</v>
      </c>
      <c r="E25" s="13">
        <f>((E21/1000)*E3)/((Balanserapport!E29+Balanserapport!D29)/2)</f>
        <v>4.7464120216510848</v>
      </c>
    </row>
    <row r="26" spans="2:6">
      <c r="B26" s="1" t="s">
        <v>98</v>
      </c>
      <c r="C26" s="11"/>
      <c r="D26" s="14">
        <f>Inntektsrapport!C24/Balanserapport!D29</f>
        <v>0.42512292214847902</v>
      </c>
      <c r="E26" s="14">
        <f>Inntektsrapport!D24/Balanserapport!E29</f>
        <v>0.35172602502586209</v>
      </c>
    </row>
    <row r="27" spans="2:6">
      <c r="B27" s="1" t="s">
        <v>99</v>
      </c>
      <c r="C27" s="11"/>
      <c r="D27" s="14">
        <f>Inntektsrapport!C24/((Balanserapport!D21+Balanserapport!C21)/2)</f>
        <v>0.16537236461939414</v>
      </c>
      <c r="E27" s="14">
        <f>Inntektsrapport!D24/((Balanserapport!E21+Balanserapport!D21)/2)</f>
        <v>0.13100151492974049</v>
      </c>
    </row>
  </sheetData>
  <pageMargins left="0" right="0" top="0" bottom="0" header="0" footer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tabSelected="1" workbookViewId="0"/>
  </sheetViews>
  <sheetFormatPr baseColWidth="10" defaultRowHeight="16"/>
  <cols>
    <col min="2" max="2" width="19.33203125" bestFit="1" customWidth="1"/>
    <col min="3" max="3" width="11.1640625" bestFit="1" customWidth="1"/>
  </cols>
  <sheetData>
    <row r="3" spans="2:7">
      <c r="B3" s="1" t="s">
        <v>111</v>
      </c>
      <c r="C3" s="2">
        <v>104496216</v>
      </c>
    </row>
    <row r="5" spans="2:7">
      <c r="C5" s="1" t="s">
        <v>108</v>
      </c>
      <c r="D5" s="1" t="s">
        <v>109</v>
      </c>
      <c r="E5" s="1"/>
      <c r="F5" s="1" t="s">
        <v>112</v>
      </c>
      <c r="G5" s="1" t="s">
        <v>113</v>
      </c>
    </row>
    <row r="6" spans="2:7">
      <c r="B6" t="s">
        <v>105</v>
      </c>
      <c r="C6" s="2">
        <v>51044895</v>
      </c>
      <c r="D6" s="2">
        <f>C6-C14</f>
        <v>32942223</v>
      </c>
      <c r="F6" s="16">
        <f t="shared" ref="F6:F8" si="0">C6/$C$3</f>
        <v>0.48848558305690226</v>
      </c>
      <c r="G6" s="16">
        <f>D6/$C$3</f>
        <v>0.3152479990280222</v>
      </c>
    </row>
    <row r="7" spans="2:7">
      <c r="B7" t="s">
        <v>106</v>
      </c>
      <c r="C7" s="2">
        <v>50154984</v>
      </c>
      <c r="D7" s="2">
        <f>C7-C15</f>
        <v>32367912</v>
      </c>
      <c r="F7" s="16">
        <f t="shared" si="0"/>
        <v>0.47996937994386324</v>
      </c>
      <c r="G7" s="16">
        <f>D7/$C$3</f>
        <v>0.3097520009719778</v>
      </c>
    </row>
    <row r="8" spans="2:7">
      <c r="B8" t="s">
        <v>107</v>
      </c>
      <c r="C8" s="2">
        <v>3296337</v>
      </c>
      <c r="D8" s="2">
        <v>0</v>
      </c>
      <c r="F8" s="16">
        <f t="shared" si="0"/>
        <v>3.1545036999234499E-2</v>
      </c>
      <c r="G8" s="16">
        <f>D8/$C$3</f>
        <v>0</v>
      </c>
    </row>
    <row r="10" spans="2:7">
      <c r="B10" s="1" t="s">
        <v>110</v>
      </c>
      <c r="C10" s="2">
        <f>SUM(C6:C8)</f>
        <v>104496216</v>
      </c>
      <c r="D10" s="2">
        <f>SUM(D6:D8)</f>
        <v>65310135</v>
      </c>
    </row>
    <row r="13" spans="2:7">
      <c r="B13" s="1" t="s">
        <v>114</v>
      </c>
    </row>
    <row r="14" spans="2:7">
      <c r="B14" t="s">
        <v>105</v>
      </c>
      <c r="C14" s="2">
        <v>18102672</v>
      </c>
    </row>
    <row r="15" spans="2:7">
      <c r="B15" t="s">
        <v>106</v>
      </c>
      <c r="C15" s="2">
        <v>17787072</v>
      </c>
    </row>
    <row r="16" spans="2:7">
      <c r="B16" t="s">
        <v>107</v>
      </c>
      <c r="C16" s="2">
        <f>C8</f>
        <v>3296337</v>
      </c>
    </row>
    <row r="18" spans="2:3">
      <c r="B18" s="1" t="s">
        <v>110</v>
      </c>
      <c r="C18" s="2">
        <f>SUM(C14:C16)</f>
        <v>39186081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Inntektsrapport</vt:lpstr>
      <vt:lpstr>Balanserapport</vt:lpstr>
      <vt:lpstr>Kontantstrømrapport</vt:lpstr>
      <vt:lpstr>Nøkkeltall</vt:lpstr>
      <vt:lpstr>Eierstrukt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Håkon R. Rolfsen</dc:creator>
  <cp:lastModifiedBy>Håkon R. Rolfsen</cp:lastModifiedBy>
  <dcterms:created xsi:type="dcterms:W3CDTF">2018-03-11T16:00:11Z</dcterms:created>
  <dcterms:modified xsi:type="dcterms:W3CDTF">2018-03-13T17:17:27Z</dcterms:modified>
</cp:coreProperties>
</file>